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159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23" i="1"/>
  <c r="P63"/>
  <c r="P64"/>
  <c r="P59"/>
  <c r="P61"/>
  <c r="P36"/>
  <c r="K62"/>
  <c r="P62" s="1"/>
  <c r="H62"/>
  <c r="K60"/>
  <c r="P60" s="1"/>
  <c r="K58"/>
  <c r="P58" s="1"/>
  <c r="K43"/>
  <c r="P43" s="1"/>
  <c r="K40"/>
  <c r="P40" s="1"/>
  <c r="K41"/>
  <c r="P41" s="1"/>
  <c r="K32"/>
  <c r="P32" s="1"/>
  <c r="K30"/>
  <c r="P30" s="1"/>
  <c r="H34"/>
  <c r="K31"/>
  <c r="P31" s="1"/>
  <c r="K25"/>
  <c r="P25" s="1"/>
  <c r="K29"/>
  <c r="P29" s="1"/>
  <c r="K35"/>
  <c r="P35" s="1"/>
  <c r="K38"/>
  <c r="P38" s="1"/>
  <c r="K39"/>
  <c r="P39" s="1"/>
  <c r="K51"/>
  <c r="P51" s="1"/>
  <c r="K24"/>
  <c r="P24" s="1"/>
  <c r="K57"/>
  <c r="P57" s="1"/>
  <c r="K56"/>
  <c r="P56" s="1"/>
  <c r="K55"/>
  <c r="P55" s="1"/>
  <c r="K54"/>
  <c r="P54" s="1"/>
  <c r="K53"/>
  <c r="P53" s="1"/>
  <c r="K52"/>
  <c r="P52" s="1"/>
  <c r="K50"/>
  <c r="P50" s="1"/>
  <c r="K49"/>
  <c r="P49" s="1"/>
  <c r="K48"/>
  <c r="P48" s="1"/>
  <c r="K47"/>
  <c r="P47" s="1"/>
  <c r="K46"/>
  <c r="P46" s="1"/>
  <c r="K45"/>
  <c r="P45" s="1"/>
  <c r="K44"/>
  <c r="P44" s="1"/>
  <c r="K42"/>
  <c r="P42" s="1"/>
  <c r="K33"/>
  <c r="P33" s="1"/>
  <c r="K37"/>
  <c r="P37" s="1"/>
  <c r="K27"/>
  <c r="P27" s="1"/>
  <c r="K28"/>
  <c r="P28" s="1"/>
  <c r="K26"/>
  <c r="P26" s="1"/>
  <c r="K34" l="1"/>
  <c r="K65" l="1"/>
  <c r="P34"/>
  <c r="L65"/>
</calcChain>
</file>

<file path=xl/sharedStrings.xml><?xml version="1.0" encoding="utf-8"?>
<sst xmlns="http://schemas.openxmlformats.org/spreadsheetml/2006/main" count="367" uniqueCount="113">
  <si>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</si>
  <si>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</si>
  <si>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</si>
  <si>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</si>
  <si>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</si>
  <si>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</si>
  <si>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</si>
  <si>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</si>
  <si>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Открытое Акционерное Общество "Кемеровская электротранспортная компания"</t>
  </si>
  <si>
    <t xml:space="preserve">650992, г.Кемерово, проспект Советский, д.1 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</si>
  <si>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</si>
  <si>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</si>
  <si>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</si>
  <si>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</si>
  <si>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</si>
  <si>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Сведения о количестве (объеме)</t>
  </si>
  <si>
    <t>Бандажи трамвайные КТМ НР1А 4160/2011</t>
  </si>
  <si>
    <t>шт</t>
  </si>
  <si>
    <t>Колесо зубчатое 605.09.33.221</t>
  </si>
  <si>
    <t>Подшипник 53620</t>
  </si>
  <si>
    <t>тн</t>
  </si>
  <si>
    <t>Единица измерения</t>
  </si>
  <si>
    <t>Код по ОКЕИ</t>
  </si>
  <si>
    <t>наимено  вание</t>
  </si>
  <si>
    <t>регион поставки товаров(выполнения работ, оказания услуг)</t>
  </si>
  <si>
    <t>Код по ОКАТО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</si>
  <si>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</si>
  <si>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</si>
  <si>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 xml:space="preserve">Срок исполнения договора (месяц, год) </t>
  </si>
  <si>
    <t>Способ закупки</t>
  </si>
  <si>
    <t>Закупка в электронной форме (да/нет)</t>
  </si>
  <si>
    <t xml:space="preserve">Сведения о начальной )максимальной) цене договора (цена лота)   (руб. с НДС18%) </t>
  </si>
  <si>
    <t>на 2014 год (на период с 01.01.2014 по 31.12.2014гг.)</t>
  </si>
  <si>
    <t>Клапанная коробка компрессора</t>
  </si>
  <si>
    <t>Болт закладной М22х180 с гайкой</t>
  </si>
  <si>
    <t>Накладка для рельс Т62</t>
  </si>
  <si>
    <t>Подкладка КБ 65</t>
  </si>
  <si>
    <t xml:space="preserve">Костыль путейский </t>
  </si>
  <si>
    <t>Подкладка Д-65</t>
  </si>
  <si>
    <t>Клемма ж/д прижимная</t>
  </si>
  <si>
    <t>Накладка 2Р65 с.г.</t>
  </si>
  <si>
    <t>Прокладка ЦП 328 резиновая</t>
  </si>
  <si>
    <t>Балласт щебеночный фракция 20х40</t>
  </si>
  <si>
    <t>м3</t>
  </si>
  <si>
    <t>Болт закладной М 22 с гайкой</t>
  </si>
  <si>
    <t>Клемма ЛК</t>
  </si>
  <si>
    <t>Шпала ж/б трамвайная</t>
  </si>
  <si>
    <t>Контактный провод МФ-100</t>
  </si>
  <si>
    <t xml:space="preserve">м </t>
  </si>
  <si>
    <t>Зажим ЗПО</t>
  </si>
  <si>
    <t>Зажим ЗС</t>
  </si>
  <si>
    <t>Рельсы Р-65 1-й категории, ГОСТ 8161</t>
  </si>
  <si>
    <t>рассрочка платежа на 6 месяцев</t>
  </si>
  <si>
    <t>Рельсы трамвайные Т-62 трамвайные ТУ14-2Р-320-96</t>
  </si>
  <si>
    <t xml:space="preserve">Преобразователи напряжения ПНР160-1НЛ, БП3Г-202 </t>
  </si>
  <si>
    <t>ГСМ ГОСТ ТУ 38.301-19-155-2009, ГОСТ Р 51866-2002, ГОСТ Р 51105-97</t>
  </si>
  <si>
    <t>АЗС по всей территории России</t>
  </si>
  <si>
    <t>предоплата 50%, вторая часть платежа в течение 10-ти банковских дней после поступления товара на склад покупателя</t>
  </si>
  <si>
    <t>Кулак поворотный правый с гайкой 682-3001014</t>
  </si>
  <si>
    <t xml:space="preserve">Вставка контактная аллюминиевая 605.29.17.006 на пантограф трамвая </t>
  </si>
  <si>
    <t>Вставка углеграфитовая троллейбусная на ГТП</t>
  </si>
  <si>
    <t>чертеж ИЛЕА. 757353.018</t>
  </si>
  <si>
    <t>ГОСТ 5257-89</t>
  </si>
  <si>
    <t>Электроника на трамвай/троллейбус Модуль КА1.МУ, Возбудитель ВЗБ-1, Блок управления БУ-1-02</t>
  </si>
  <si>
    <t>группа ЭК4</t>
  </si>
  <si>
    <t>Ступица 605.09.84.478 цельнолитая</t>
  </si>
  <si>
    <t xml:space="preserve">Щетка углеграфитовая 20х32х50, 16х32х50 </t>
  </si>
  <si>
    <t>ТУ16-88ИЛЕА чертеж ИЛГТ685211.1160,  ТУ16-88ИЛЕА</t>
  </si>
  <si>
    <t>Колесная пара 608КМ.09.01.000-01</t>
  </si>
  <si>
    <t>Тележка без эл.двигателя ДК259 608КМ.09.00.000</t>
  </si>
  <si>
    <t xml:space="preserve">Автошины 320Rх508, КАМА 310, </t>
  </si>
  <si>
    <t>Шпалы ж/б железнодорожные Ш1</t>
  </si>
  <si>
    <t xml:space="preserve">Шпалы деревянные IIТип пропитанные </t>
  </si>
  <si>
    <t>ГОСТ78-89</t>
  </si>
  <si>
    <t>Болт клемный М22х175 с гайкой</t>
  </si>
  <si>
    <t>Пересечение УТП-П-НЭ</t>
  </si>
  <si>
    <t>Стрелка СТУ-5 П НЭ, СТС-5 П НЭ</t>
  </si>
  <si>
    <t>Держатель кривой КД 10П, КД 25/45П</t>
  </si>
  <si>
    <t>м2</t>
  </si>
  <si>
    <t>Профлист оцинкованный С-44-100-А,В</t>
  </si>
  <si>
    <t>Пиломатериал</t>
  </si>
  <si>
    <t>Автотранспортные услуги</t>
  </si>
  <si>
    <t>Плитка половая</t>
  </si>
  <si>
    <t>60.21.2</t>
  </si>
  <si>
    <t>020000</t>
  </si>
  <si>
    <t>113000</t>
  </si>
  <si>
    <t>092000</t>
  </si>
  <si>
    <t>252000</t>
  </si>
  <si>
    <t>575000</t>
  </si>
  <si>
    <t>094000</t>
  </si>
  <si>
    <t>455000</t>
  </si>
  <si>
    <t>161000</t>
  </si>
  <si>
    <t>1413020</t>
  </si>
  <si>
    <t>2010020</t>
  </si>
  <si>
    <t>2010040</t>
  </si>
  <si>
    <t>2732010</t>
  </si>
  <si>
    <t>2714970</t>
  </si>
  <si>
    <t>2913020</t>
  </si>
  <si>
    <t>3131010</t>
  </si>
  <si>
    <t>3520000</t>
  </si>
  <si>
    <t>4550010</t>
  </si>
  <si>
    <t>январь 2014г.</t>
  </si>
  <si>
    <t>32401362000</t>
  </si>
  <si>
    <t>г.Кемерово</t>
  </si>
  <si>
    <t>055</t>
  </si>
  <si>
    <t>006</t>
  </si>
  <si>
    <t>август 2014г.</t>
  </si>
  <si>
    <t>февраль 2014г.</t>
  </si>
  <si>
    <t>март 2014г.</t>
  </si>
  <si>
    <t>май 2014г.</t>
  </si>
  <si>
    <t>июнь 2014г.</t>
  </si>
  <si>
    <t>апрель 2014г.</t>
  </si>
  <si>
    <t>Члены Совета директоров: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</si>
</sst>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12"/>
      <color indexed="56"/>
      <name val="Arial Cyr"/>
      <charset val="204"/>
    </font>
    <font>
      <b/>
      <sz val="12"/>
      <color indexed="8"/>
      <name val="Arial Cyr"/>
      <charset val="204"/>
    </font>
    <font>
      <sz val="12"/>
      <color indexed="8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1"/>
      <color rgb="FF0070C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color indexed="8"/>
      <name val="Arial Cyr"/>
      <charset val="204"/>
    </font>
    <font>
      <b/>
      <sz val="11"/>
      <color indexed="8"/>
      <name val="Arial Cyr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0" fontId="0" fillId="0" borderId="1" xfId="0" applyFont="1" applyBorder="1"/>
    <xf numFmtId="0" fontId="9" fillId="0" borderId="0" xfId="0" applyFont="1"/>
    <xf numFmtId="0" fontId="10" fillId="0" borderId="1" xfId="0" applyFont="1" applyBorder="1"/>
    <xf numFmtId="0" fontId="11" fillId="0" borderId="1" xfId="0" applyFont="1" applyBorder="1"/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wrapText="1"/>
    </xf>
    <xf numFmtId="164" fontId="0" fillId="0" borderId="0" xfId="0" applyNumberFormat="1"/>
    <xf numFmtId="3" fontId="6" fillId="0" borderId="0" xfId="0" applyNumberFormat="1" applyFont="1"/>
    <xf numFmtId="3" fontId="6" fillId="0" borderId="0" xfId="0" applyNumberFormat="1" applyFont="1" applyAlignment="1"/>
    <xf numFmtId="3" fontId="13" fillId="0" borderId="7" xfId="0" applyNumberFormat="1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 wrapText="1"/>
    </xf>
    <xf numFmtId="3" fontId="9" fillId="0" borderId="1" xfId="0" applyNumberFormat="1" applyFont="1" applyBorder="1"/>
    <xf numFmtId="3" fontId="10" fillId="0" borderId="1" xfId="0" applyNumberFormat="1" applyFont="1" applyBorder="1"/>
    <xf numFmtId="3" fontId="0" fillId="0" borderId="1" xfId="0" applyNumberFormat="1" applyFont="1" applyBorder="1"/>
    <xf numFmtId="3" fontId="0" fillId="0" borderId="0" xfId="0" applyNumberFormat="1"/>
    <xf numFmtId="3" fontId="9" fillId="0" borderId="1" xfId="0" applyNumberFormat="1" applyFont="1" applyBorder="1" applyAlignment="1">
      <alignment horizontal="right" wrapText="1"/>
    </xf>
    <xf numFmtId="3" fontId="11" fillId="0" borderId="1" xfId="0" applyNumberFormat="1" applyFont="1" applyBorder="1" applyAlignment="1">
      <alignment horizontal="right" wrapText="1"/>
    </xf>
    <xf numFmtId="3" fontId="4" fillId="0" borderId="0" xfId="0" applyNumberFormat="1" applyFont="1"/>
    <xf numFmtId="3" fontId="12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/>
    <xf numFmtId="0" fontId="16" fillId="0" borderId="1" xfId="0" applyFont="1" applyBorder="1" applyAlignment="1">
      <alignment horizontal="center" wrapText="1"/>
    </xf>
    <xf numFmtId="0" fontId="17" fillId="0" borderId="1" xfId="0" applyFont="1" applyBorder="1"/>
    <xf numFmtId="0" fontId="14" fillId="0" borderId="2" xfId="0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right" wrapText="1"/>
    </xf>
    <xf numFmtId="49" fontId="18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19" fillId="0" borderId="0" xfId="0" applyNumberFormat="1" applyFont="1"/>
    <xf numFmtId="0" fontId="20" fillId="0" borderId="0" xfId="0" applyFont="1"/>
    <xf numFmtId="0" fontId="19" fillId="0" borderId="0" xfId="0" applyFont="1"/>
    <xf numFmtId="3" fontId="19" fillId="0" borderId="0" xfId="0" applyNumberFormat="1" applyFont="1" applyAlignment="1"/>
    <xf numFmtId="0" fontId="19" fillId="0" borderId="0" xfId="0" applyFont="1" applyAlignment="1"/>
    <xf numFmtId="0" fontId="21" fillId="0" borderId="0" xfId="0" applyFont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 vertical="top" wrapText="1"/>
    </xf>
    <xf numFmtId="3" fontId="13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70"/>
  <sheetViews>
    <sheetView tabSelected="1" topLeftCell="A35" workbookViewId="0">
      <selection activeCell="D67" sqref="D67"/>
    </sheetView>
  </sheetViews>
  <sheetFormatPr defaultRowHeight="15"/>
  <cols>
    <col min="1" max="1" width="4.140625" customWidth="1"/>
    <col min="2" max="2" width="7.140625" customWidth="1"/>
    <col min="3" max="3" width="8.85546875" customWidth="1"/>
    <col min="4" max="4" width="41" customWidth="1"/>
    <col min="5" max="5" width="12.42578125" customWidth="1"/>
    <col min="6" max="7" width="5.42578125" customWidth="1"/>
    <col min="8" max="8" width="8.28515625" style="24" customWidth="1"/>
    <col min="9" max="9" width="10.7109375" customWidth="1"/>
    <col min="10" max="10" width="10.28515625" customWidth="1"/>
    <col min="11" max="11" width="12.42578125" style="24" customWidth="1"/>
    <col min="12" max="12" width="11.140625" style="24" customWidth="1"/>
    <col min="13" max="13" width="12.85546875" customWidth="1"/>
    <col min="14" max="14" width="6.85546875" customWidth="1"/>
    <col min="15" max="15" width="7.140625" customWidth="1"/>
    <col min="16" max="16" width="12.5703125" customWidth="1"/>
  </cols>
  <sheetData>
    <row r="3" spans="1:16" ht="15.75">
      <c r="A3" s="1"/>
      <c r="B3" s="2"/>
      <c r="C3" s="3"/>
      <c r="D3" s="3"/>
      <c r="E3" s="3"/>
      <c r="F3" s="3"/>
      <c r="G3" s="3"/>
      <c r="H3" s="27"/>
      <c r="I3" s="4"/>
      <c r="J3" s="5"/>
      <c r="K3" s="17"/>
      <c r="L3" s="17"/>
      <c r="M3" s="4"/>
      <c r="N3" s="5"/>
      <c r="O3" s="5"/>
      <c r="P3" s="5"/>
    </row>
    <row r="4" spans="1:16" ht="15.75">
      <c r="A4" s="1"/>
      <c r="B4" s="2"/>
      <c r="C4" s="3"/>
      <c r="D4" s="3"/>
      <c r="E4" s="3"/>
      <c r="F4" s="3"/>
      <c r="G4" s="3"/>
      <c r="H4" s="27"/>
      <c r="I4" s="4"/>
      <c r="J4" s="5"/>
      <c r="K4" s="38"/>
      <c r="L4" s="38"/>
      <c r="M4" s="39"/>
      <c r="N4" s="40"/>
      <c r="O4" s="40"/>
      <c r="P4" s="5"/>
    </row>
    <row r="5" spans="1:16" ht="15.75">
      <c r="A5" s="2"/>
      <c r="B5" s="2"/>
      <c r="C5" s="3"/>
      <c r="D5" s="3"/>
      <c r="E5" s="3"/>
      <c r="F5" s="3"/>
      <c r="G5" s="3"/>
      <c r="H5" s="27"/>
      <c r="I5" s="5"/>
      <c r="J5" s="5"/>
      <c r="K5" s="38"/>
      <c r="L5" s="38"/>
      <c r="M5" s="40"/>
      <c r="N5" s="40"/>
      <c r="O5" s="40"/>
      <c r="P5" s="5"/>
    </row>
    <row r="6" spans="1:16" ht="15.75">
      <c r="A6" s="2"/>
      <c r="B6" s="3"/>
      <c r="C6" s="3"/>
      <c r="D6" s="3"/>
      <c r="E6" s="3"/>
      <c r="F6" s="3"/>
      <c r="G6" s="3"/>
      <c r="H6" s="27"/>
      <c r="I6" s="6"/>
      <c r="J6" s="6"/>
      <c r="K6" s="41"/>
      <c r="L6" s="41"/>
      <c r="M6" s="42"/>
      <c r="N6" s="42"/>
      <c r="O6" s="42"/>
      <c r="P6" s="5"/>
    </row>
    <row r="7" spans="1:16" ht="15.75">
      <c r="A7" s="2"/>
      <c r="B7" s="3"/>
      <c r="C7" s="3"/>
      <c r="D7" s="3"/>
      <c r="E7" s="3"/>
      <c r="F7" s="3"/>
      <c r="G7" s="3"/>
      <c r="H7" s="27"/>
      <c r="I7" s="6"/>
      <c r="J7" s="6"/>
      <c r="K7" s="41"/>
      <c r="L7" s="41"/>
      <c r="M7" s="42"/>
      <c r="N7" s="42"/>
      <c r="O7" s="42"/>
      <c r="P7" s="5"/>
    </row>
    <row r="8" spans="1:16" ht="15.75">
      <c r="A8" s="2"/>
      <c r="B8" s="3"/>
      <c r="C8" s="3"/>
      <c r="D8" s="3"/>
      <c r="E8" s="3"/>
      <c r="F8" s="3"/>
      <c r="G8" s="3"/>
      <c r="H8" s="27"/>
      <c r="I8" s="6"/>
      <c r="J8" s="6"/>
      <c r="K8" s="41"/>
      <c r="L8" s="41"/>
      <c r="M8" s="42"/>
      <c r="N8" s="42"/>
      <c r="O8" s="42"/>
      <c r="P8" s="5"/>
    </row>
    <row r="9" spans="1:16" ht="16.5">
      <c r="A9" s="2"/>
      <c r="B9" s="3"/>
      <c r="C9" s="3"/>
      <c r="D9" s="48" t="s">
        <v>0</v>
      </c>
      <c r="E9" s="49"/>
      <c r="F9" s="49"/>
      <c r="G9" s="49"/>
      <c r="H9" s="49"/>
      <c r="I9" s="49"/>
      <c r="J9" s="49"/>
      <c r="K9" s="49"/>
      <c r="L9" s="18"/>
      <c r="M9" s="6"/>
      <c r="N9" s="6"/>
      <c r="O9" s="6"/>
      <c r="P9" s="5"/>
    </row>
    <row r="10" spans="1:16" ht="18.75">
      <c r="B10" s="47" t="s">
        <v>32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6" ht="18.75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6" ht="18.75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6">
      <c r="A13" s="50" t="s">
        <v>1</v>
      </c>
      <c r="B13" s="51"/>
      <c r="C13" s="51"/>
      <c r="D13" s="52"/>
      <c r="E13" s="50" t="s">
        <v>8</v>
      </c>
      <c r="F13" s="51"/>
      <c r="G13" s="51"/>
      <c r="H13" s="51"/>
      <c r="I13" s="51"/>
      <c r="J13" s="51"/>
      <c r="K13" s="51"/>
      <c r="L13" s="51"/>
      <c r="M13" s="51"/>
      <c r="N13" s="51"/>
      <c r="O13" s="52"/>
    </row>
    <row r="14" spans="1:16">
      <c r="A14" s="50" t="s">
        <v>2</v>
      </c>
      <c r="B14" s="51"/>
      <c r="C14" s="51"/>
      <c r="D14" s="52"/>
      <c r="E14" s="50" t="s">
        <v>9</v>
      </c>
      <c r="F14" s="51"/>
      <c r="G14" s="51"/>
      <c r="H14" s="51"/>
      <c r="I14" s="51"/>
      <c r="J14" s="51"/>
      <c r="K14" s="51"/>
      <c r="L14" s="51"/>
      <c r="M14" s="51"/>
      <c r="N14" s="51"/>
      <c r="O14" s="52"/>
    </row>
    <row r="15" spans="1:16">
      <c r="A15" s="50" t="s">
        <v>3</v>
      </c>
      <c r="B15" s="51"/>
      <c r="C15" s="51"/>
      <c r="D15" s="52"/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1:16">
      <c r="A16" s="50" t="s">
        <v>4</v>
      </c>
      <c r="B16" s="51"/>
      <c r="C16" s="51"/>
      <c r="D16" s="52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2"/>
    </row>
    <row r="17" spans="1:17">
      <c r="A17" s="50" t="s">
        <v>5</v>
      </c>
      <c r="B17" s="51"/>
      <c r="C17" s="51"/>
      <c r="D17" s="52"/>
      <c r="E17" s="53">
        <v>4205088927</v>
      </c>
      <c r="F17" s="54"/>
      <c r="G17" s="54"/>
      <c r="H17" s="54"/>
      <c r="I17" s="54"/>
      <c r="J17" s="54"/>
      <c r="K17" s="54"/>
      <c r="L17" s="54"/>
      <c r="M17" s="54"/>
      <c r="N17" s="54"/>
      <c r="O17" s="55"/>
    </row>
    <row r="18" spans="1:17">
      <c r="A18" s="50" t="s">
        <v>6</v>
      </c>
      <c r="B18" s="51"/>
      <c r="C18" s="51"/>
      <c r="D18" s="52"/>
      <c r="E18" s="53">
        <v>420501001</v>
      </c>
      <c r="F18" s="54"/>
      <c r="G18" s="54"/>
      <c r="H18" s="54"/>
      <c r="I18" s="54"/>
      <c r="J18" s="54"/>
      <c r="K18" s="54"/>
      <c r="L18" s="54"/>
      <c r="M18" s="54"/>
      <c r="N18" s="54"/>
      <c r="O18" s="55"/>
    </row>
    <row r="19" spans="1:17">
      <c r="A19" s="50" t="s">
        <v>7</v>
      </c>
      <c r="B19" s="51"/>
      <c r="C19" s="51"/>
      <c r="D19" s="52"/>
      <c r="E19" s="50"/>
      <c r="F19" s="51"/>
      <c r="G19" s="51"/>
      <c r="H19" s="51"/>
      <c r="I19" s="51"/>
      <c r="J19" s="51"/>
      <c r="K19" s="51"/>
      <c r="L19" s="51"/>
      <c r="M19" s="51"/>
      <c r="N19" s="51"/>
      <c r="O19" s="52"/>
    </row>
    <row r="20" spans="1:17" ht="48" customHeight="1">
      <c r="A20" s="56" t="s">
        <v>10</v>
      </c>
      <c r="B20" s="56" t="s">
        <v>11</v>
      </c>
      <c r="C20" s="56" t="s">
        <v>12</v>
      </c>
      <c r="D20" s="62" t="s">
        <v>13</v>
      </c>
      <c r="E20" s="56" t="s">
        <v>14</v>
      </c>
      <c r="F20" s="58" t="s">
        <v>21</v>
      </c>
      <c r="G20" s="59"/>
      <c r="H20" s="60" t="s">
        <v>15</v>
      </c>
      <c r="I20" s="58" t="s">
        <v>24</v>
      </c>
      <c r="J20" s="59"/>
      <c r="K20" s="60" t="s">
        <v>31</v>
      </c>
      <c r="L20" s="58" t="s">
        <v>26</v>
      </c>
      <c r="M20" s="59"/>
      <c r="N20" s="56" t="s">
        <v>29</v>
      </c>
      <c r="O20" s="56" t="s">
        <v>30</v>
      </c>
    </row>
    <row r="21" spans="1:17" ht="85.5" customHeight="1">
      <c r="A21" s="57"/>
      <c r="B21" s="57"/>
      <c r="C21" s="57"/>
      <c r="D21" s="63"/>
      <c r="E21" s="57"/>
      <c r="F21" s="13" t="s">
        <v>22</v>
      </c>
      <c r="G21" s="13" t="s">
        <v>23</v>
      </c>
      <c r="H21" s="61"/>
      <c r="I21" s="13" t="s">
        <v>25</v>
      </c>
      <c r="J21" s="13" t="s">
        <v>23</v>
      </c>
      <c r="K21" s="61"/>
      <c r="L21" s="19" t="s">
        <v>27</v>
      </c>
      <c r="M21" s="13" t="s">
        <v>28</v>
      </c>
      <c r="N21" s="57"/>
      <c r="O21" s="57"/>
    </row>
    <row r="22" spans="1:17" ht="14.25" customHeight="1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20">
        <v>8</v>
      </c>
      <c r="I22" s="11">
        <v>9</v>
      </c>
      <c r="J22" s="11">
        <v>10</v>
      </c>
      <c r="K22" s="20">
        <v>11</v>
      </c>
      <c r="L22" s="20">
        <v>12</v>
      </c>
      <c r="M22" s="11">
        <v>13</v>
      </c>
      <c r="N22" s="11">
        <v>14</v>
      </c>
      <c r="O22" s="11">
        <v>15</v>
      </c>
    </row>
    <row r="23" spans="1:17" ht="37.5" customHeight="1">
      <c r="A23" s="11">
        <v>1</v>
      </c>
      <c r="B23" s="11" t="s">
        <v>83</v>
      </c>
      <c r="C23" s="33" t="s">
        <v>84</v>
      </c>
      <c r="D23" s="15" t="s">
        <v>55</v>
      </c>
      <c r="E23" s="30" t="s">
        <v>56</v>
      </c>
      <c r="F23" s="11"/>
      <c r="G23" s="12"/>
      <c r="H23" s="28"/>
      <c r="I23" s="35" t="s">
        <v>102</v>
      </c>
      <c r="J23" s="30" t="s">
        <v>103</v>
      </c>
      <c r="K23" s="25">
        <v>18000000</v>
      </c>
      <c r="L23" s="34" t="s">
        <v>101</v>
      </c>
      <c r="M23" s="34" t="s">
        <v>101</v>
      </c>
      <c r="N23" s="11"/>
      <c r="O23" s="11"/>
      <c r="P23" s="25">
        <f>K23/4</f>
        <v>4500000</v>
      </c>
      <c r="Q23" s="26">
        <v>3406548</v>
      </c>
    </row>
    <row r="24" spans="1:17" ht="30">
      <c r="A24" s="11">
        <v>2</v>
      </c>
      <c r="B24" s="11" t="s">
        <v>83</v>
      </c>
      <c r="C24" s="33" t="s">
        <v>89</v>
      </c>
      <c r="D24" s="15" t="s">
        <v>16</v>
      </c>
      <c r="E24" s="30" t="s">
        <v>62</v>
      </c>
      <c r="F24" s="12">
        <v>796</v>
      </c>
      <c r="G24" s="12" t="s">
        <v>17</v>
      </c>
      <c r="H24" s="28">
        <v>120</v>
      </c>
      <c r="I24" s="35" t="s">
        <v>102</v>
      </c>
      <c r="J24" s="30" t="s">
        <v>103</v>
      </c>
      <c r="K24" s="21">
        <f>11400*H24</f>
        <v>1368000</v>
      </c>
      <c r="L24" s="34" t="s">
        <v>106</v>
      </c>
      <c r="M24" s="34" t="s">
        <v>106</v>
      </c>
      <c r="N24" s="10"/>
      <c r="O24" s="10"/>
      <c r="P24">
        <f>K24/4</f>
        <v>342000</v>
      </c>
    </row>
    <row r="25" spans="1:17" ht="30.75" customHeight="1">
      <c r="A25" s="11">
        <v>3</v>
      </c>
      <c r="B25" s="11" t="s">
        <v>83</v>
      </c>
      <c r="C25" s="33" t="s">
        <v>95</v>
      </c>
      <c r="D25" s="15" t="s">
        <v>59</v>
      </c>
      <c r="E25" s="30"/>
      <c r="F25" s="12">
        <v>796</v>
      </c>
      <c r="G25" s="12" t="s">
        <v>17</v>
      </c>
      <c r="H25" s="28">
        <v>1000</v>
      </c>
      <c r="I25" s="35" t="s">
        <v>102</v>
      </c>
      <c r="J25" s="30" t="s">
        <v>103</v>
      </c>
      <c r="K25" s="21">
        <f>400*H25</f>
        <v>400000</v>
      </c>
      <c r="L25" s="34" t="s">
        <v>107</v>
      </c>
      <c r="M25" s="34" t="s">
        <v>107</v>
      </c>
      <c r="N25" s="9"/>
      <c r="O25" s="9"/>
      <c r="P25">
        <f t="shared" ref="P25:P62" si="0">K25/4</f>
        <v>100000</v>
      </c>
    </row>
    <row r="26" spans="1:17" ht="29.25" customHeight="1">
      <c r="A26" s="11">
        <v>4</v>
      </c>
      <c r="B26" s="11" t="s">
        <v>83</v>
      </c>
      <c r="C26" s="33" t="s">
        <v>90</v>
      </c>
      <c r="D26" s="15" t="s">
        <v>60</v>
      </c>
      <c r="E26" s="30" t="s">
        <v>61</v>
      </c>
      <c r="F26" s="12">
        <v>796</v>
      </c>
      <c r="G26" s="12" t="s">
        <v>17</v>
      </c>
      <c r="H26" s="28">
        <v>100000</v>
      </c>
      <c r="I26" s="35" t="s">
        <v>102</v>
      </c>
      <c r="J26" s="30" t="s">
        <v>103</v>
      </c>
      <c r="K26" s="21">
        <f>7.6*H26</f>
        <v>760000</v>
      </c>
      <c r="L26" s="34" t="s">
        <v>101</v>
      </c>
      <c r="M26" s="34" t="s">
        <v>101</v>
      </c>
      <c r="N26" s="9"/>
      <c r="O26" s="9"/>
      <c r="P26">
        <f t="shared" si="0"/>
        <v>190000</v>
      </c>
    </row>
    <row r="27" spans="1:17" ht="24.75" customHeight="1">
      <c r="A27" s="11">
        <v>5</v>
      </c>
      <c r="B27" s="11" t="s">
        <v>83</v>
      </c>
      <c r="C27" s="33" t="s">
        <v>90</v>
      </c>
      <c r="D27" s="15" t="s">
        <v>33</v>
      </c>
      <c r="E27" s="30" t="s">
        <v>64</v>
      </c>
      <c r="F27" s="12">
        <v>796</v>
      </c>
      <c r="G27" s="12" t="s">
        <v>17</v>
      </c>
      <c r="H27" s="28">
        <v>10</v>
      </c>
      <c r="I27" s="35" t="s">
        <v>102</v>
      </c>
      <c r="J27" s="30" t="s">
        <v>103</v>
      </c>
      <c r="K27" s="21">
        <f>69700*H27</f>
        <v>697000</v>
      </c>
      <c r="L27" s="34" t="s">
        <v>107</v>
      </c>
      <c r="M27" s="34" t="s">
        <v>107</v>
      </c>
      <c r="N27" s="9"/>
      <c r="O27" s="9"/>
      <c r="P27">
        <f t="shared" si="0"/>
        <v>174250</v>
      </c>
    </row>
    <row r="28" spans="1:17" ht="22.5" customHeight="1">
      <c r="A28" s="11">
        <v>6</v>
      </c>
      <c r="B28" s="11" t="s">
        <v>83</v>
      </c>
      <c r="C28" s="33" t="s">
        <v>99</v>
      </c>
      <c r="D28" s="15" t="s">
        <v>65</v>
      </c>
      <c r="E28" s="30"/>
      <c r="F28" s="12">
        <v>796</v>
      </c>
      <c r="G28" s="12" t="s">
        <v>17</v>
      </c>
      <c r="H28" s="28">
        <v>64</v>
      </c>
      <c r="I28" s="35" t="s">
        <v>102</v>
      </c>
      <c r="J28" s="30" t="s">
        <v>103</v>
      </c>
      <c r="K28" s="21">
        <f>13500*H28</f>
        <v>864000</v>
      </c>
      <c r="L28" s="34" t="s">
        <v>107</v>
      </c>
      <c r="M28" s="34" t="s">
        <v>107</v>
      </c>
      <c r="N28" s="10"/>
      <c r="O28" s="10"/>
      <c r="P28">
        <f t="shared" si="0"/>
        <v>216000</v>
      </c>
    </row>
    <row r="29" spans="1:17" ht="30" customHeight="1">
      <c r="A29" s="11">
        <v>7</v>
      </c>
      <c r="B29" s="11" t="s">
        <v>83</v>
      </c>
      <c r="C29" s="33" t="s">
        <v>90</v>
      </c>
      <c r="D29" s="15" t="s">
        <v>58</v>
      </c>
      <c r="E29" s="30"/>
      <c r="F29" s="12">
        <v>796</v>
      </c>
      <c r="G29" s="12" t="s">
        <v>17</v>
      </c>
      <c r="H29" s="28">
        <v>60</v>
      </c>
      <c r="I29" s="35" t="s">
        <v>102</v>
      </c>
      <c r="J29" s="30" t="s">
        <v>103</v>
      </c>
      <c r="K29" s="21">
        <f>7200*H29</f>
        <v>432000</v>
      </c>
      <c r="L29" s="34" t="s">
        <v>108</v>
      </c>
      <c r="M29" s="34" t="s">
        <v>108</v>
      </c>
      <c r="N29" s="9"/>
      <c r="O29" s="9"/>
      <c r="P29">
        <f t="shared" si="0"/>
        <v>108000</v>
      </c>
    </row>
    <row r="30" spans="1:17" ht="30" customHeight="1">
      <c r="A30" s="11">
        <v>8</v>
      </c>
      <c r="B30" s="11" t="s">
        <v>83</v>
      </c>
      <c r="C30" s="33" t="s">
        <v>99</v>
      </c>
      <c r="D30" s="15" t="s">
        <v>68</v>
      </c>
      <c r="E30" s="30"/>
      <c r="F30" s="12">
        <v>796</v>
      </c>
      <c r="G30" s="12" t="s">
        <v>17</v>
      </c>
      <c r="H30" s="28">
        <v>8</v>
      </c>
      <c r="I30" s="35" t="s">
        <v>102</v>
      </c>
      <c r="J30" s="30" t="s">
        <v>103</v>
      </c>
      <c r="K30" s="21">
        <f>143000*H30</f>
        <v>1144000</v>
      </c>
      <c r="L30" s="34" t="s">
        <v>109</v>
      </c>
      <c r="M30" s="34" t="s">
        <v>109</v>
      </c>
      <c r="N30" s="9"/>
      <c r="O30" s="9"/>
      <c r="P30">
        <f t="shared" si="0"/>
        <v>286000</v>
      </c>
    </row>
    <row r="31" spans="1:17" ht="33" customHeight="1">
      <c r="A31" s="11">
        <v>9</v>
      </c>
      <c r="B31" s="11" t="s">
        <v>83</v>
      </c>
      <c r="C31" s="33" t="s">
        <v>99</v>
      </c>
      <c r="D31" s="15" t="s">
        <v>18</v>
      </c>
      <c r="E31" s="30"/>
      <c r="F31" s="12">
        <v>796</v>
      </c>
      <c r="G31" s="12" t="s">
        <v>17</v>
      </c>
      <c r="H31" s="28">
        <v>48</v>
      </c>
      <c r="I31" s="35" t="s">
        <v>102</v>
      </c>
      <c r="J31" s="30" t="s">
        <v>103</v>
      </c>
      <c r="K31" s="21">
        <f>9000*H31</f>
        <v>432000</v>
      </c>
      <c r="L31" s="34" t="s">
        <v>108</v>
      </c>
      <c r="M31" s="34" t="s">
        <v>108</v>
      </c>
      <c r="N31" s="9"/>
      <c r="O31" s="9"/>
      <c r="P31">
        <f t="shared" si="0"/>
        <v>108000</v>
      </c>
    </row>
    <row r="32" spans="1:17" ht="31.5" customHeight="1">
      <c r="A32" s="11">
        <v>10</v>
      </c>
      <c r="B32" s="11" t="s">
        <v>83</v>
      </c>
      <c r="C32" s="33" t="s">
        <v>99</v>
      </c>
      <c r="D32" s="15" t="s">
        <v>69</v>
      </c>
      <c r="E32" s="30"/>
      <c r="F32" s="12">
        <v>796</v>
      </c>
      <c r="G32" s="12" t="s">
        <v>17</v>
      </c>
      <c r="H32" s="28">
        <v>4</v>
      </c>
      <c r="I32" s="35" t="s">
        <v>102</v>
      </c>
      <c r="J32" s="30" t="s">
        <v>103</v>
      </c>
      <c r="K32" s="21">
        <f>650000*H32</f>
        <v>2600000</v>
      </c>
      <c r="L32" s="34" t="s">
        <v>110</v>
      </c>
      <c r="M32" s="34" t="s">
        <v>110</v>
      </c>
      <c r="N32" s="9"/>
      <c r="O32" s="9"/>
      <c r="P32">
        <f t="shared" si="0"/>
        <v>650000</v>
      </c>
    </row>
    <row r="33" spans="1:16" ht="26.25" customHeight="1">
      <c r="A33" s="11">
        <v>11</v>
      </c>
      <c r="B33" s="11" t="s">
        <v>83</v>
      </c>
      <c r="C33" s="33" t="s">
        <v>97</v>
      </c>
      <c r="D33" s="15" t="s">
        <v>19</v>
      </c>
      <c r="E33" s="30"/>
      <c r="F33" s="12">
        <v>796</v>
      </c>
      <c r="G33" s="12" t="s">
        <v>17</v>
      </c>
      <c r="H33" s="28">
        <v>120</v>
      </c>
      <c r="I33" s="35" t="s">
        <v>102</v>
      </c>
      <c r="J33" s="30" t="s">
        <v>103</v>
      </c>
      <c r="K33" s="21">
        <f>3350*H33</f>
        <v>402000</v>
      </c>
      <c r="L33" s="34" t="s">
        <v>107</v>
      </c>
      <c r="M33" s="34" t="s">
        <v>107</v>
      </c>
      <c r="N33" s="9"/>
      <c r="O33" s="9"/>
      <c r="P33">
        <f t="shared" si="0"/>
        <v>100500</v>
      </c>
    </row>
    <row r="34" spans="1:16" ht="27" customHeight="1">
      <c r="A34" s="11">
        <v>12</v>
      </c>
      <c r="B34" s="11" t="s">
        <v>83</v>
      </c>
      <c r="C34" s="33" t="s">
        <v>90</v>
      </c>
      <c r="D34" s="15" t="s">
        <v>66</v>
      </c>
      <c r="E34" s="30" t="s">
        <v>67</v>
      </c>
      <c r="F34" s="12">
        <v>796</v>
      </c>
      <c r="G34" s="12" t="s">
        <v>17</v>
      </c>
      <c r="H34" s="28">
        <f>8000+2000</f>
        <v>10000</v>
      </c>
      <c r="I34" s="35" t="s">
        <v>102</v>
      </c>
      <c r="J34" s="30" t="s">
        <v>103</v>
      </c>
      <c r="K34" s="21">
        <f>40*H34</f>
        <v>400000</v>
      </c>
      <c r="L34" s="34" t="s">
        <v>107</v>
      </c>
      <c r="M34" s="34" t="s">
        <v>107</v>
      </c>
      <c r="N34" s="9"/>
      <c r="O34" s="9"/>
      <c r="P34">
        <f t="shared" si="0"/>
        <v>100000</v>
      </c>
    </row>
    <row r="35" spans="1:16" ht="27" customHeight="1">
      <c r="A35" s="11">
        <v>13</v>
      </c>
      <c r="B35" s="11" t="s">
        <v>83</v>
      </c>
      <c r="C35" s="33"/>
      <c r="D35" s="15" t="s">
        <v>54</v>
      </c>
      <c r="E35" s="30" t="s">
        <v>57</v>
      </c>
      <c r="F35" s="12">
        <v>796</v>
      </c>
      <c r="G35" s="12" t="s">
        <v>17</v>
      </c>
      <c r="H35" s="28">
        <v>20</v>
      </c>
      <c r="I35" s="35" t="s">
        <v>102</v>
      </c>
      <c r="J35" s="30" t="s">
        <v>103</v>
      </c>
      <c r="K35" s="21">
        <f>25000*H35</f>
        <v>500000</v>
      </c>
      <c r="L35" s="34" t="s">
        <v>108</v>
      </c>
      <c r="M35" s="34" t="s">
        <v>108</v>
      </c>
      <c r="N35" s="9"/>
      <c r="O35" s="9"/>
      <c r="P35">
        <f t="shared" si="0"/>
        <v>125000</v>
      </c>
    </row>
    <row r="36" spans="1:16" ht="45" customHeight="1">
      <c r="A36" s="11">
        <v>14</v>
      </c>
      <c r="B36" s="11" t="s">
        <v>83</v>
      </c>
      <c r="C36" s="33"/>
      <c r="D36" s="15" t="s">
        <v>63</v>
      </c>
      <c r="E36" s="30"/>
      <c r="F36" s="12">
        <v>796</v>
      </c>
      <c r="G36" s="12" t="s">
        <v>17</v>
      </c>
      <c r="H36" s="28">
        <v>14</v>
      </c>
      <c r="I36" s="35" t="s">
        <v>102</v>
      </c>
      <c r="J36" s="30" t="s">
        <v>103</v>
      </c>
      <c r="K36" s="21">
        <v>320661</v>
      </c>
      <c r="L36" s="34" t="s">
        <v>111</v>
      </c>
      <c r="M36" s="34" t="s">
        <v>111</v>
      </c>
      <c r="N36" s="9"/>
      <c r="O36" s="9"/>
      <c r="P36">
        <f t="shared" si="0"/>
        <v>80165.25</v>
      </c>
    </row>
    <row r="37" spans="1:16" ht="18.75" customHeight="1">
      <c r="A37" s="11">
        <v>15</v>
      </c>
      <c r="B37" s="11" t="s">
        <v>83</v>
      </c>
      <c r="C37" s="33" t="s">
        <v>87</v>
      </c>
      <c r="D37" s="15" t="s">
        <v>70</v>
      </c>
      <c r="E37" s="30"/>
      <c r="F37" s="14">
        <v>796</v>
      </c>
      <c r="G37" s="12" t="s">
        <v>17</v>
      </c>
      <c r="H37" s="29">
        <v>400</v>
      </c>
      <c r="I37" s="35" t="s">
        <v>102</v>
      </c>
      <c r="J37" s="30" t="s">
        <v>103</v>
      </c>
      <c r="K37" s="21">
        <f>12113*H37</f>
        <v>4845200</v>
      </c>
      <c r="L37" s="34" t="s">
        <v>108</v>
      </c>
      <c r="M37" s="34" t="s">
        <v>108</v>
      </c>
      <c r="N37" s="9"/>
      <c r="O37" s="9"/>
      <c r="P37">
        <f t="shared" si="0"/>
        <v>1211300</v>
      </c>
    </row>
    <row r="38" spans="1:16" ht="17.25" customHeight="1">
      <c r="A38" s="11">
        <v>16</v>
      </c>
      <c r="B38" s="11" t="s">
        <v>83</v>
      </c>
      <c r="C38" s="33" t="s">
        <v>86</v>
      </c>
      <c r="D38" s="15" t="s">
        <v>51</v>
      </c>
      <c r="E38" s="31" t="s">
        <v>52</v>
      </c>
      <c r="F38" s="14">
        <v>168</v>
      </c>
      <c r="G38" s="12" t="s">
        <v>20</v>
      </c>
      <c r="H38" s="29">
        <v>734.33</v>
      </c>
      <c r="I38" s="35" t="s">
        <v>102</v>
      </c>
      <c r="J38" s="30" t="s">
        <v>103</v>
      </c>
      <c r="K38" s="21">
        <f>25500*H38</f>
        <v>18725415</v>
      </c>
      <c r="L38" s="34" t="s">
        <v>110</v>
      </c>
      <c r="M38" s="34" t="s">
        <v>110</v>
      </c>
      <c r="N38" s="9"/>
      <c r="O38" s="9"/>
      <c r="P38">
        <f t="shared" si="0"/>
        <v>4681353.75</v>
      </c>
    </row>
    <row r="39" spans="1:16" ht="28.5" customHeight="1">
      <c r="A39" s="11">
        <v>17</v>
      </c>
      <c r="B39" s="11" t="s">
        <v>83</v>
      </c>
      <c r="C39" s="33" t="s">
        <v>86</v>
      </c>
      <c r="D39" s="15" t="s">
        <v>53</v>
      </c>
      <c r="E39" s="31" t="s">
        <v>52</v>
      </c>
      <c r="F39" s="14">
        <v>168</v>
      </c>
      <c r="G39" s="12" t="s">
        <v>20</v>
      </c>
      <c r="H39" s="29">
        <v>100</v>
      </c>
      <c r="I39" s="35" t="s">
        <v>102</v>
      </c>
      <c r="J39" s="30" t="s">
        <v>103</v>
      </c>
      <c r="K39" s="21">
        <f>45000*H39</f>
        <v>4500000</v>
      </c>
      <c r="L39" s="34" t="s">
        <v>110</v>
      </c>
      <c r="M39" s="34" t="s">
        <v>110</v>
      </c>
      <c r="N39" s="9"/>
      <c r="O39" s="9"/>
      <c r="P39">
        <f t="shared" si="0"/>
        <v>1125000</v>
      </c>
    </row>
    <row r="40" spans="1:16" ht="20.25" customHeight="1">
      <c r="A40" s="11">
        <v>18</v>
      </c>
      <c r="B40" s="11" t="s">
        <v>83</v>
      </c>
      <c r="C40" s="33" t="s">
        <v>94</v>
      </c>
      <c r="D40" s="15" t="s">
        <v>72</v>
      </c>
      <c r="E40" s="31" t="s">
        <v>73</v>
      </c>
      <c r="F40" s="14">
        <v>796</v>
      </c>
      <c r="G40" s="12" t="s">
        <v>17</v>
      </c>
      <c r="H40" s="29">
        <v>3339</v>
      </c>
      <c r="I40" s="35" t="s">
        <v>102</v>
      </c>
      <c r="J40" s="30" t="s">
        <v>103</v>
      </c>
      <c r="K40" s="21">
        <f>H40*750</f>
        <v>2504250</v>
      </c>
      <c r="L40" s="34" t="s">
        <v>109</v>
      </c>
      <c r="M40" s="34" t="s">
        <v>109</v>
      </c>
      <c r="N40" s="9"/>
      <c r="O40" s="9"/>
      <c r="P40">
        <f t="shared" si="0"/>
        <v>626062.5</v>
      </c>
    </row>
    <row r="41" spans="1:16" ht="15" customHeight="1">
      <c r="A41" s="11">
        <v>19</v>
      </c>
      <c r="B41" s="11" t="s">
        <v>83</v>
      </c>
      <c r="C41" s="33"/>
      <c r="D41" s="15" t="s">
        <v>71</v>
      </c>
      <c r="E41" s="9"/>
      <c r="F41" s="14">
        <v>796</v>
      </c>
      <c r="G41" s="12" t="s">
        <v>17</v>
      </c>
      <c r="H41" s="29">
        <v>7602</v>
      </c>
      <c r="I41" s="35" t="s">
        <v>102</v>
      </c>
      <c r="J41" s="30" t="s">
        <v>103</v>
      </c>
      <c r="K41" s="21">
        <f>800*H41</f>
        <v>6081600</v>
      </c>
      <c r="L41" s="34" t="s">
        <v>109</v>
      </c>
      <c r="M41" s="34" t="s">
        <v>109</v>
      </c>
      <c r="N41" s="9"/>
      <c r="O41" s="9"/>
      <c r="P41">
        <f t="shared" si="0"/>
        <v>1520400</v>
      </c>
    </row>
    <row r="42" spans="1:16" ht="15" customHeight="1">
      <c r="A42" s="11">
        <v>20</v>
      </c>
      <c r="B42" s="11" t="s">
        <v>83</v>
      </c>
      <c r="C42" s="33" t="s">
        <v>91</v>
      </c>
      <c r="D42" s="15" t="s">
        <v>34</v>
      </c>
      <c r="E42" s="9"/>
      <c r="F42" s="14">
        <v>168</v>
      </c>
      <c r="G42" s="12" t="s">
        <v>20</v>
      </c>
      <c r="H42" s="29">
        <v>21.85</v>
      </c>
      <c r="I42" s="35" t="s">
        <v>102</v>
      </c>
      <c r="J42" s="30" t="s">
        <v>103</v>
      </c>
      <c r="K42" s="21">
        <f>56000*H42</f>
        <v>1223600</v>
      </c>
      <c r="L42" s="34" t="s">
        <v>109</v>
      </c>
      <c r="M42" s="34" t="s">
        <v>109</v>
      </c>
      <c r="N42" s="9"/>
      <c r="O42" s="9"/>
      <c r="P42">
        <f t="shared" si="0"/>
        <v>305900</v>
      </c>
    </row>
    <row r="43" spans="1:16" ht="15" customHeight="1">
      <c r="A43" s="11">
        <v>21</v>
      </c>
      <c r="B43" s="11" t="s">
        <v>83</v>
      </c>
      <c r="C43" s="33" t="s">
        <v>91</v>
      </c>
      <c r="D43" s="15" t="s">
        <v>74</v>
      </c>
      <c r="E43" s="9"/>
      <c r="F43" s="14">
        <v>168</v>
      </c>
      <c r="G43" s="12" t="s">
        <v>20</v>
      </c>
      <c r="H43" s="29">
        <v>10</v>
      </c>
      <c r="I43" s="35" t="s">
        <v>102</v>
      </c>
      <c r="J43" s="30" t="s">
        <v>103</v>
      </c>
      <c r="K43" s="21">
        <f>50000*H43</f>
        <v>500000</v>
      </c>
      <c r="L43" s="34" t="s">
        <v>109</v>
      </c>
      <c r="M43" s="34" t="s">
        <v>109</v>
      </c>
      <c r="N43" s="9"/>
      <c r="O43" s="9"/>
      <c r="P43">
        <f t="shared" si="0"/>
        <v>125000</v>
      </c>
    </row>
    <row r="44" spans="1:16" ht="15" customHeight="1">
      <c r="A44" s="11">
        <v>22</v>
      </c>
      <c r="B44" s="11" t="s">
        <v>83</v>
      </c>
      <c r="C44" s="33" t="s">
        <v>85</v>
      </c>
      <c r="D44" s="15" t="s">
        <v>40</v>
      </c>
      <c r="E44" s="9"/>
      <c r="F44" s="14">
        <v>168</v>
      </c>
      <c r="G44" s="12" t="s">
        <v>20</v>
      </c>
      <c r="H44" s="29">
        <v>43.16</v>
      </c>
      <c r="I44" s="35" t="s">
        <v>102</v>
      </c>
      <c r="J44" s="30" t="s">
        <v>103</v>
      </c>
      <c r="K44" s="21">
        <f>28500*H44</f>
        <v>1230060</v>
      </c>
      <c r="L44" s="34" t="s">
        <v>109</v>
      </c>
      <c r="M44" s="34" t="s">
        <v>109</v>
      </c>
      <c r="N44" s="9"/>
      <c r="O44" s="9"/>
      <c r="P44">
        <f t="shared" si="0"/>
        <v>307515</v>
      </c>
    </row>
    <row r="45" spans="1:16" ht="15" customHeight="1">
      <c r="A45" s="11">
        <v>23</v>
      </c>
      <c r="B45" s="11" t="s">
        <v>83</v>
      </c>
      <c r="C45" s="33" t="s">
        <v>85</v>
      </c>
      <c r="D45" s="15" t="s">
        <v>35</v>
      </c>
      <c r="E45" s="9"/>
      <c r="F45" s="14">
        <v>796</v>
      </c>
      <c r="G45" s="12" t="s">
        <v>17</v>
      </c>
      <c r="H45" s="29">
        <v>618</v>
      </c>
      <c r="I45" s="35" t="s">
        <v>102</v>
      </c>
      <c r="J45" s="30" t="s">
        <v>103</v>
      </c>
      <c r="K45" s="21">
        <f>3500*H45</f>
        <v>2163000</v>
      </c>
      <c r="L45" s="34" t="s">
        <v>109</v>
      </c>
      <c r="M45" s="34" t="s">
        <v>109</v>
      </c>
      <c r="N45" s="9"/>
      <c r="O45" s="9"/>
      <c r="P45">
        <f t="shared" si="0"/>
        <v>540750</v>
      </c>
    </row>
    <row r="46" spans="1:16" ht="15" customHeight="1">
      <c r="A46" s="11">
        <v>24</v>
      </c>
      <c r="B46" s="11" t="s">
        <v>83</v>
      </c>
      <c r="C46" s="33" t="s">
        <v>96</v>
      </c>
      <c r="D46" s="15" t="s">
        <v>37</v>
      </c>
      <c r="E46" s="9"/>
      <c r="F46" s="14">
        <v>168</v>
      </c>
      <c r="G46" s="12" t="s">
        <v>20</v>
      </c>
      <c r="H46" s="29">
        <v>10</v>
      </c>
      <c r="I46" s="35" t="s">
        <v>102</v>
      </c>
      <c r="J46" s="30" t="s">
        <v>103</v>
      </c>
      <c r="K46" s="21">
        <f>46500*H46</f>
        <v>465000</v>
      </c>
      <c r="L46" s="34" t="s">
        <v>109</v>
      </c>
      <c r="M46" s="34" t="s">
        <v>109</v>
      </c>
      <c r="N46" s="9"/>
      <c r="O46" s="9"/>
      <c r="P46">
        <f t="shared" si="0"/>
        <v>116250</v>
      </c>
    </row>
    <row r="47" spans="1:16" ht="15" customHeight="1">
      <c r="A47" s="11">
        <v>25</v>
      </c>
      <c r="B47" s="11" t="s">
        <v>83</v>
      </c>
      <c r="C47" s="33" t="s">
        <v>85</v>
      </c>
      <c r="D47" s="15" t="s">
        <v>36</v>
      </c>
      <c r="E47" s="9"/>
      <c r="F47" s="14">
        <v>168</v>
      </c>
      <c r="G47" s="12" t="s">
        <v>20</v>
      </c>
      <c r="H47" s="29">
        <v>91.3</v>
      </c>
      <c r="I47" s="35" t="s">
        <v>102</v>
      </c>
      <c r="J47" s="30" t="s">
        <v>103</v>
      </c>
      <c r="K47" s="21">
        <f>41000*H47</f>
        <v>3743300</v>
      </c>
      <c r="L47" s="34" t="s">
        <v>109</v>
      </c>
      <c r="M47" s="34" t="s">
        <v>109</v>
      </c>
      <c r="N47" s="9"/>
      <c r="O47" s="9"/>
      <c r="P47">
        <f t="shared" si="0"/>
        <v>935825</v>
      </c>
    </row>
    <row r="48" spans="1:16" ht="15" customHeight="1">
      <c r="A48" s="11">
        <v>26</v>
      </c>
      <c r="B48" s="11" t="s">
        <v>83</v>
      </c>
      <c r="C48" s="33" t="s">
        <v>85</v>
      </c>
      <c r="D48" s="15" t="s">
        <v>38</v>
      </c>
      <c r="E48" s="9"/>
      <c r="F48" s="14">
        <v>168</v>
      </c>
      <c r="G48" s="12" t="s">
        <v>20</v>
      </c>
      <c r="H48" s="29">
        <v>36</v>
      </c>
      <c r="I48" s="35" t="s">
        <v>102</v>
      </c>
      <c r="J48" s="30" t="s">
        <v>103</v>
      </c>
      <c r="K48" s="21">
        <f>25000*H48</f>
        <v>900000</v>
      </c>
      <c r="L48" s="34" t="s">
        <v>109</v>
      </c>
      <c r="M48" s="34" t="s">
        <v>109</v>
      </c>
      <c r="N48" s="9"/>
      <c r="O48" s="9"/>
      <c r="P48">
        <f>K48/4</f>
        <v>225000</v>
      </c>
    </row>
    <row r="49" spans="1:16" ht="15" customHeight="1">
      <c r="A49" s="11">
        <v>27</v>
      </c>
      <c r="B49" s="11" t="s">
        <v>83</v>
      </c>
      <c r="C49" s="33" t="s">
        <v>85</v>
      </c>
      <c r="D49" s="15" t="s">
        <v>39</v>
      </c>
      <c r="E49" s="9"/>
      <c r="F49" s="14">
        <v>168</v>
      </c>
      <c r="G49" s="12" t="s">
        <v>20</v>
      </c>
      <c r="H49" s="29">
        <v>19.03</v>
      </c>
      <c r="I49" s="35" t="s">
        <v>102</v>
      </c>
      <c r="J49" s="30" t="s">
        <v>103</v>
      </c>
      <c r="K49" s="21">
        <f>44000*H49</f>
        <v>837320</v>
      </c>
      <c r="L49" s="34" t="s">
        <v>109</v>
      </c>
      <c r="M49" s="34" t="s">
        <v>109</v>
      </c>
      <c r="N49" s="9"/>
      <c r="O49" s="9"/>
      <c r="P49">
        <f t="shared" si="0"/>
        <v>209330</v>
      </c>
    </row>
    <row r="50" spans="1:16" ht="15" customHeight="1">
      <c r="A50" s="11">
        <v>28</v>
      </c>
      <c r="B50" s="11" t="s">
        <v>83</v>
      </c>
      <c r="C50" s="33" t="s">
        <v>85</v>
      </c>
      <c r="D50" s="15" t="s">
        <v>41</v>
      </c>
      <c r="E50" s="9"/>
      <c r="F50" s="14">
        <v>796</v>
      </c>
      <c r="G50" s="12" t="s">
        <v>17</v>
      </c>
      <c r="H50" s="29">
        <v>15204</v>
      </c>
      <c r="I50" s="35" t="s">
        <v>102</v>
      </c>
      <c r="J50" s="30" t="s">
        <v>103</v>
      </c>
      <c r="K50" s="21">
        <f>30*H50</f>
        <v>456120</v>
      </c>
      <c r="L50" s="34" t="s">
        <v>109</v>
      </c>
      <c r="M50" s="34" t="s">
        <v>109</v>
      </c>
      <c r="N50" s="9"/>
      <c r="O50" s="9"/>
      <c r="P50">
        <f t="shared" si="0"/>
        <v>114030</v>
      </c>
    </row>
    <row r="51" spans="1:16" ht="15" customHeight="1">
      <c r="A51" s="11">
        <v>29</v>
      </c>
      <c r="B51" s="11" t="s">
        <v>83</v>
      </c>
      <c r="C51" s="33" t="s">
        <v>92</v>
      </c>
      <c r="D51" s="15" t="s">
        <v>42</v>
      </c>
      <c r="E51" s="9"/>
      <c r="F51" s="14">
        <v>113</v>
      </c>
      <c r="G51" s="12" t="s">
        <v>43</v>
      </c>
      <c r="H51" s="29">
        <v>13131</v>
      </c>
      <c r="I51" s="35" t="s">
        <v>102</v>
      </c>
      <c r="J51" s="30" t="s">
        <v>103</v>
      </c>
      <c r="K51" s="21">
        <f>449.58*H51</f>
        <v>5903434.9799999995</v>
      </c>
      <c r="L51" s="34" t="s">
        <v>111</v>
      </c>
      <c r="M51" s="34" t="s">
        <v>111</v>
      </c>
      <c r="N51" s="9"/>
      <c r="O51" s="9"/>
      <c r="P51">
        <f t="shared" si="0"/>
        <v>1475858.7449999999</v>
      </c>
    </row>
    <row r="52" spans="1:16" ht="15" customHeight="1">
      <c r="A52" s="11">
        <v>30</v>
      </c>
      <c r="B52" s="11" t="s">
        <v>83</v>
      </c>
      <c r="C52" s="33" t="s">
        <v>91</v>
      </c>
      <c r="D52" s="15" t="s">
        <v>44</v>
      </c>
      <c r="E52" s="9"/>
      <c r="F52" s="14">
        <v>168</v>
      </c>
      <c r="G52" s="12" t="s">
        <v>20</v>
      </c>
      <c r="H52" s="29">
        <v>7.48</v>
      </c>
      <c r="I52" s="35" t="s">
        <v>102</v>
      </c>
      <c r="J52" s="30" t="s">
        <v>103</v>
      </c>
      <c r="K52" s="21">
        <f>56000*H52</f>
        <v>418880</v>
      </c>
      <c r="L52" s="34" t="s">
        <v>109</v>
      </c>
      <c r="M52" s="34" t="s">
        <v>109</v>
      </c>
      <c r="N52" s="9"/>
      <c r="O52" s="9"/>
      <c r="P52">
        <f t="shared" si="0"/>
        <v>104720</v>
      </c>
    </row>
    <row r="53" spans="1:16" ht="15" customHeight="1">
      <c r="A53" s="11">
        <v>31</v>
      </c>
      <c r="B53" s="11" t="s">
        <v>83</v>
      </c>
      <c r="C53" s="33" t="s">
        <v>85</v>
      </c>
      <c r="D53" s="15" t="s">
        <v>45</v>
      </c>
      <c r="E53" s="9"/>
      <c r="F53" s="14">
        <v>796</v>
      </c>
      <c r="G53" s="12" t="s">
        <v>17</v>
      </c>
      <c r="H53" s="29">
        <v>8.7799999999999994</v>
      </c>
      <c r="I53" s="35" t="s">
        <v>102</v>
      </c>
      <c r="J53" s="30" t="s">
        <v>103</v>
      </c>
      <c r="K53" s="21">
        <f>80000*H53</f>
        <v>702400</v>
      </c>
      <c r="L53" s="34" t="s">
        <v>109</v>
      </c>
      <c r="M53" s="34" t="s">
        <v>109</v>
      </c>
      <c r="N53" s="9"/>
      <c r="O53" s="9"/>
      <c r="P53">
        <f t="shared" si="0"/>
        <v>175600</v>
      </c>
    </row>
    <row r="54" spans="1:16" ht="15" customHeight="1">
      <c r="A54" s="11">
        <v>32</v>
      </c>
      <c r="B54" s="11" t="s">
        <v>83</v>
      </c>
      <c r="C54" s="33"/>
      <c r="D54" s="15" t="s">
        <v>46</v>
      </c>
      <c r="E54" s="9"/>
      <c r="F54" s="14">
        <v>796</v>
      </c>
      <c r="G54" s="12" t="s">
        <v>17</v>
      </c>
      <c r="H54" s="29">
        <v>2394</v>
      </c>
      <c r="I54" s="35" t="s">
        <v>102</v>
      </c>
      <c r="J54" s="30" t="s">
        <v>103</v>
      </c>
      <c r="K54" s="21">
        <f>1800*H54</f>
        <v>4309200</v>
      </c>
      <c r="L54" s="34" t="s">
        <v>109</v>
      </c>
      <c r="M54" s="34" t="s">
        <v>109</v>
      </c>
      <c r="N54" s="9"/>
      <c r="O54" s="9"/>
      <c r="P54">
        <f t="shared" si="0"/>
        <v>1077300</v>
      </c>
    </row>
    <row r="55" spans="1:16" ht="15" customHeight="1">
      <c r="A55" s="11">
        <v>33</v>
      </c>
      <c r="B55" s="11" t="s">
        <v>83</v>
      </c>
      <c r="C55" s="33" t="s">
        <v>98</v>
      </c>
      <c r="D55" s="15" t="s">
        <v>47</v>
      </c>
      <c r="E55" s="9"/>
      <c r="F55" s="36" t="s">
        <v>105</v>
      </c>
      <c r="G55" s="12" t="s">
        <v>48</v>
      </c>
      <c r="H55" s="29">
        <v>6000</v>
      </c>
      <c r="I55" s="35" t="s">
        <v>102</v>
      </c>
      <c r="J55" s="30" t="s">
        <v>103</v>
      </c>
      <c r="K55" s="21">
        <f>334.5*H55</f>
        <v>2007000</v>
      </c>
      <c r="L55" s="34" t="s">
        <v>108</v>
      </c>
      <c r="M55" s="34" t="s">
        <v>108</v>
      </c>
      <c r="N55" s="9"/>
      <c r="O55" s="9"/>
      <c r="P55">
        <f t="shared" si="0"/>
        <v>501750</v>
      </c>
    </row>
    <row r="56" spans="1:16" ht="15" customHeight="1">
      <c r="A56" s="11">
        <v>34</v>
      </c>
      <c r="B56" s="11" t="s">
        <v>83</v>
      </c>
      <c r="C56" s="33"/>
      <c r="D56" s="15" t="s">
        <v>49</v>
      </c>
      <c r="E56" s="9"/>
      <c r="F56" s="14">
        <v>796</v>
      </c>
      <c r="G56" s="12" t="s">
        <v>17</v>
      </c>
      <c r="H56" s="29">
        <v>1920</v>
      </c>
      <c r="I56" s="35" t="s">
        <v>102</v>
      </c>
      <c r="J56" s="30" t="s">
        <v>103</v>
      </c>
      <c r="K56" s="21">
        <f>230*H56</f>
        <v>441600</v>
      </c>
      <c r="L56" s="34" t="s">
        <v>108</v>
      </c>
      <c r="M56" s="34" t="s">
        <v>108</v>
      </c>
      <c r="N56" s="9"/>
      <c r="O56" s="9"/>
      <c r="P56">
        <f t="shared" si="0"/>
        <v>110400</v>
      </c>
    </row>
    <row r="57" spans="1:16" ht="15" customHeight="1">
      <c r="A57" s="11">
        <v>35</v>
      </c>
      <c r="B57" s="11" t="s">
        <v>83</v>
      </c>
      <c r="C57" s="33"/>
      <c r="D57" s="15" t="s">
        <v>50</v>
      </c>
      <c r="E57" s="9"/>
      <c r="F57" s="14">
        <v>796</v>
      </c>
      <c r="G57" s="12" t="s">
        <v>17</v>
      </c>
      <c r="H57" s="29">
        <v>1080</v>
      </c>
      <c r="I57" s="35" t="s">
        <v>102</v>
      </c>
      <c r="J57" s="30" t="s">
        <v>103</v>
      </c>
      <c r="K57" s="21">
        <f>422*H57</f>
        <v>455760</v>
      </c>
      <c r="L57" s="34" t="s">
        <v>108</v>
      </c>
      <c r="M57" s="34" t="s">
        <v>108</v>
      </c>
      <c r="N57" s="9"/>
      <c r="O57" s="9"/>
      <c r="P57">
        <f t="shared" si="0"/>
        <v>113940</v>
      </c>
    </row>
    <row r="58" spans="1:16" ht="15" customHeight="1">
      <c r="A58" s="11">
        <v>36</v>
      </c>
      <c r="B58" s="11" t="s">
        <v>83</v>
      </c>
      <c r="C58" s="33"/>
      <c r="D58" s="15" t="s">
        <v>75</v>
      </c>
      <c r="E58" s="9"/>
      <c r="F58" s="14">
        <v>796</v>
      </c>
      <c r="G58" s="12" t="s">
        <v>17</v>
      </c>
      <c r="H58" s="22">
        <v>2</v>
      </c>
      <c r="I58" s="35" t="s">
        <v>102</v>
      </c>
      <c r="J58" s="30" t="s">
        <v>103</v>
      </c>
      <c r="K58" s="21">
        <f>30773*H58</f>
        <v>61546</v>
      </c>
      <c r="L58" s="34" t="s">
        <v>108</v>
      </c>
      <c r="M58" s="34" t="s">
        <v>108</v>
      </c>
      <c r="N58" s="9"/>
      <c r="O58" s="9"/>
      <c r="P58">
        <f t="shared" si="0"/>
        <v>15386.5</v>
      </c>
    </row>
    <row r="59" spans="1:16" ht="15" customHeight="1">
      <c r="A59" s="11">
        <v>37</v>
      </c>
      <c r="B59" s="11" t="s">
        <v>83</v>
      </c>
      <c r="C59" s="33"/>
      <c r="D59" s="15" t="s">
        <v>76</v>
      </c>
      <c r="E59" s="9"/>
      <c r="F59" s="14">
        <v>796</v>
      </c>
      <c r="G59" s="12" t="s">
        <v>17</v>
      </c>
      <c r="H59" s="22">
        <v>4</v>
      </c>
      <c r="I59" s="35" t="s">
        <v>102</v>
      </c>
      <c r="J59" s="30" t="s">
        <v>103</v>
      </c>
      <c r="K59" s="21">
        <v>137014</v>
      </c>
      <c r="L59" s="34" t="s">
        <v>108</v>
      </c>
      <c r="M59" s="34" t="s">
        <v>108</v>
      </c>
      <c r="N59" s="9"/>
      <c r="O59" s="9"/>
      <c r="P59">
        <f t="shared" si="0"/>
        <v>34253.5</v>
      </c>
    </row>
    <row r="60" spans="1:16" ht="15" customHeight="1">
      <c r="A60" s="11">
        <v>38</v>
      </c>
      <c r="B60" s="11" t="s">
        <v>83</v>
      </c>
      <c r="C60" s="33"/>
      <c r="D60" s="15" t="s">
        <v>77</v>
      </c>
      <c r="E60" s="9"/>
      <c r="F60" s="14">
        <v>796</v>
      </c>
      <c r="G60" s="12" t="s">
        <v>17</v>
      </c>
      <c r="H60" s="22">
        <v>20</v>
      </c>
      <c r="I60" s="35" t="s">
        <v>102</v>
      </c>
      <c r="J60" s="30" t="s">
        <v>103</v>
      </c>
      <c r="K60" s="21">
        <f>44132+37122.8</f>
        <v>81254.8</v>
      </c>
      <c r="L60" s="34" t="s">
        <v>108</v>
      </c>
      <c r="M60" s="34" t="s">
        <v>108</v>
      </c>
      <c r="N60" s="9"/>
      <c r="O60" s="9"/>
      <c r="P60">
        <f t="shared" si="0"/>
        <v>20313.7</v>
      </c>
    </row>
    <row r="61" spans="1:16" ht="19.5" customHeight="1">
      <c r="A61" s="11">
        <v>39</v>
      </c>
      <c r="B61" s="11" t="s">
        <v>83</v>
      </c>
      <c r="C61" s="33" t="s">
        <v>89</v>
      </c>
      <c r="D61" s="15" t="s">
        <v>79</v>
      </c>
      <c r="E61" s="9"/>
      <c r="F61" s="36" t="s">
        <v>104</v>
      </c>
      <c r="G61" s="12" t="s">
        <v>78</v>
      </c>
      <c r="H61" s="22">
        <v>1910</v>
      </c>
      <c r="I61" s="35" t="s">
        <v>102</v>
      </c>
      <c r="J61" s="30" t="s">
        <v>103</v>
      </c>
      <c r="K61" s="21">
        <v>458000</v>
      </c>
      <c r="L61" s="34" t="s">
        <v>108</v>
      </c>
      <c r="M61" s="34" t="s">
        <v>108</v>
      </c>
      <c r="N61" s="9"/>
      <c r="O61" s="9"/>
      <c r="P61">
        <f t="shared" si="0"/>
        <v>114500</v>
      </c>
    </row>
    <row r="62" spans="1:16" ht="15" customHeight="1">
      <c r="A62" s="11">
        <v>40</v>
      </c>
      <c r="B62" s="11" t="s">
        <v>83</v>
      </c>
      <c r="C62" s="33" t="s">
        <v>93</v>
      </c>
      <c r="D62" s="15" t="s">
        <v>80</v>
      </c>
      <c r="E62" s="9"/>
      <c r="F62" s="14">
        <v>113</v>
      </c>
      <c r="G62" s="12" t="s">
        <v>43</v>
      </c>
      <c r="H62" s="22">
        <f>35+70</f>
        <v>105</v>
      </c>
      <c r="I62" s="35" t="s">
        <v>102</v>
      </c>
      <c r="J62" s="30" t="s">
        <v>103</v>
      </c>
      <c r="K62" s="21">
        <f>210000+420000</f>
        <v>630000</v>
      </c>
      <c r="L62" s="34" t="s">
        <v>107</v>
      </c>
      <c r="M62" s="34" t="s">
        <v>107</v>
      </c>
      <c r="N62" s="9"/>
      <c r="O62" s="9"/>
      <c r="P62">
        <f t="shared" si="0"/>
        <v>157500</v>
      </c>
    </row>
    <row r="63" spans="1:16" ht="15" customHeight="1">
      <c r="A63" s="32">
        <v>41</v>
      </c>
      <c r="B63" s="11" t="s">
        <v>83</v>
      </c>
      <c r="C63" s="33" t="s">
        <v>100</v>
      </c>
      <c r="D63" s="15" t="s">
        <v>81</v>
      </c>
      <c r="E63" s="9"/>
      <c r="F63" s="14"/>
      <c r="G63" s="12"/>
      <c r="H63" s="22"/>
      <c r="I63" s="35" t="s">
        <v>102</v>
      </c>
      <c r="J63" s="30" t="s">
        <v>103</v>
      </c>
      <c r="K63" s="21">
        <v>600000</v>
      </c>
      <c r="L63" s="34" t="s">
        <v>101</v>
      </c>
      <c r="M63" s="34" t="s">
        <v>101</v>
      </c>
      <c r="N63" s="9"/>
      <c r="O63" s="9"/>
      <c r="P63">
        <f>K63/4</f>
        <v>150000</v>
      </c>
    </row>
    <row r="64" spans="1:16" ht="15" customHeight="1">
      <c r="A64" s="32">
        <v>42</v>
      </c>
      <c r="B64" s="11" t="s">
        <v>83</v>
      </c>
      <c r="C64" s="33" t="s">
        <v>88</v>
      </c>
      <c r="D64" s="15" t="s">
        <v>82</v>
      </c>
      <c r="E64" s="9"/>
      <c r="F64" s="36" t="s">
        <v>104</v>
      </c>
      <c r="G64" s="12" t="s">
        <v>78</v>
      </c>
      <c r="H64" s="22">
        <v>310</v>
      </c>
      <c r="I64" s="35" t="s">
        <v>102</v>
      </c>
      <c r="J64" s="30" t="s">
        <v>103</v>
      </c>
      <c r="K64" s="21">
        <v>496000</v>
      </c>
      <c r="L64" s="34" t="s">
        <v>101</v>
      </c>
      <c r="M64" s="34" t="s">
        <v>101</v>
      </c>
      <c r="N64" s="9"/>
      <c r="O64" s="9"/>
      <c r="P64">
        <f t="shared" ref="P64" si="1">K64/4</f>
        <v>124000</v>
      </c>
    </row>
    <row r="65" spans="1:15">
      <c r="A65" s="44"/>
      <c r="B65" s="45"/>
      <c r="C65" s="45"/>
      <c r="D65" s="46"/>
      <c r="E65" s="7"/>
      <c r="F65" s="7"/>
      <c r="G65" s="7"/>
      <c r="H65" s="23"/>
      <c r="I65" s="7"/>
      <c r="J65" s="7"/>
      <c r="K65" s="21">
        <f>SUM(K23:K64)</f>
        <v>93196615.780000001</v>
      </c>
      <c r="L65" s="23">
        <f>SUM(L23:L64)</f>
        <v>0</v>
      </c>
      <c r="M65" s="7"/>
      <c r="N65" s="7"/>
      <c r="O65" s="8"/>
    </row>
    <row r="68" spans="1:15" ht="15.75">
      <c r="A68" s="43"/>
      <c r="B68" s="43" t="s">
        <v>112</v>
      </c>
      <c r="C68" s="43"/>
      <c r="D68" s="43"/>
    </row>
    <row r="70" spans="1:15">
      <c r="N70" s="16"/>
    </row>
  </sheetData>
  <mergeCells count="29">
    <mergeCell ref="A17:D17"/>
    <mergeCell ref="N20:N21"/>
    <mergeCell ref="O20:O21"/>
    <mergeCell ref="L20:M20"/>
    <mergeCell ref="E20:E21"/>
    <mergeCell ref="H20:H21"/>
    <mergeCell ref="K20:K21"/>
    <mergeCell ref="F20:G20"/>
    <mergeCell ref="I20:J20"/>
    <mergeCell ref="B20:B21"/>
    <mergeCell ref="C20:C21"/>
    <mergeCell ref="D20:D21"/>
    <mergeCell ref="A20:A21"/>
    <mergeCell ref="A65:D65"/>
    <mergeCell ref="B10:M10"/>
    <mergeCell ref="D9:K9"/>
    <mergeCell ref="A13:D13"/>
    <mergeCell ref="E13:O13"/>
    <mergeCell ref="A14:D14"/>
    <mergeCell ref="E14:O14"/>
    <mergeCell ref="E15:O15"/>
    <mergeCell ref="E16:O16"/>
    <mergeCell ref="E17:O17"/>
    <mergeCell ref="E19:O19"/>
    <mergeCell ref="A18:D18"/>
    <mergeCell ref="E18:O18"/>
    <mergeCell ref="A15:D15"/>
    <mergeCell ref="A19:D19"/>
    <mergeCell ref="A16:D16"/>
  </mergeCells>
  <pageMargins left="0.55000000000000004" right="0.14000000000000001" top="0.74803149606299213" bottom="0.74803149606299213" header="0.31496062992125984" footer="0.31496062992125984"/>
  <pageSetup paperSize="9" scale="8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2013-12-27T02:36:34Z</dcterms:modified>
</cp:coreProperties>
</file>